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26" windowWidth="20835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Pr?vot</author>
    <author>NEC Computers International</author>
  </authors>
  <commentList>
    <comment ref="M11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selon la SNBC
</t>
        </r>
      </text>
    </comment>
    <comment ref="E15" authorId="1">
      <text>
        <r>
          <rPr>
            <b/>
            <sz val="8"/>
            <rFont val="Tahoma"/>
            <family val="0"/>
          </rPr>
          <t>NEC Computers International:</t>
        </r>
        <r>
          <rPr>
            <sz val="8"/>
            <rFont val="Tahoma"/>
            <family val="0"/>
          </rPr>
          <t xml:space="preserve">
Ce paramètre dépend de la technique de production du biocarburant : c'est la quantité de biocarburant produite avec la quantité de biomasse qui, si elle était brûlée, produirait 1 tep thermique.
Pour un procédé de gazéification-synthèse :
- sans apport de chaleur extérieure : 0,4
- avec apport de chaleur extérieure : 0,8
- avec apport d'hydrogène : 1,2 
Le scénario de division par 3 suppose qu'une partie du biocarburant est faite avec apport de chaleur extérieure.</t>
        </r>
      </text>
    </comment>
    <comment ref="H27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SNBC 50 TWh</t>
        </r>
      </text>
    </comment>
    <comment ref="E25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calculée sur la consommation d'électricité par les PAC</t>
        </r>
      </text>
    </comment>
    <comment ref="F25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La quantité de chaleur produite en cogénération est le tiers de la quantité d'électricité produite en même temps.
La quantité de chaleur déstockée est calculée à l'aide du COP des PAC et en tenant compte des pertes de stockage- déstockage de chaleur.</t>
        </r>
        <r>
          <rPr>
            <sz val="9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calculée sur la consommation d'électricité par les PAC</t>
        </r>
      </text>
    </comment>
    <comment ref="F32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La quantité de chaleur produite en cogénération est le tiers de la quantité d'électricité produite en même temps.
La quantité de chaleur déstockée est calculée à l'aide du COP des PAC et en tenant compte des pertes de stockage- déstockage de chaleur.</t>
        </r>
        <r>
          <rPr>
            <sz val="9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SNBC 50 TWh</t>
        </r>
      </text>
    </comment>
    <comment ref="E31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calculée sur la consommation d'électricité par les PAC</t>
        </r>
      </text>
    </comment>
    <comment ref="E24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chaleur solaire
surtout  chauffe eau solaires
</t>
        </r>
      </text>
    </comment>
    <comment ref="G37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voir feuille 2
</t>
        </r>
      </text>
    </comment>
    <comment ref="K43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consommation par des résistances électriques : chauffage et eau chaude</t>
        </r>
      </text>
    </comment>
    <comment ref="N43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pertes du stockage de chaleur intersais
onnier</t>
        </r>
      </text>
    </comment>
  </commentList>
</comments>
</file>

<file path=xl/sharedStrings.xml><?xml version="1.0" encoding="utf-8"?>
<sst xmlns="http://schemas.openxmlformats.org/spreadsheetml/2006/main" count="149" uniqueCount="113">
  <si>
    <t>Les nombres dont la couleur est rouge sont calculés</t>
  </si>
  <si>
    <t>La capacité de biomasse en Mtep thermiques</t>
  </si>
  <si>
    <t>TWh</t>
  </si>
  <si>
    <t>Usages thermiques dans le résidentiel et tertiaire</t>
  </si>
  <si>
    <t>Utilisation de la biomasse</t>
  </si>
  <si>
    <t xml:space="preserve">   Par rapport à 2015, évolution en %</t>
  </si>
  <si>
    <t>besoins thermiques dans résidentiel et tertiaire</t>
  </si>
  <si>
    <t>Mtep</t>
  </si>
  <si>
    <t>Le transport hors rail : route et avion</t>
  </si>
  <si>
    <t>soit</t>
  </si>
  <si>
    <t>de moins que selon une évolution tendancielle</t>
  </si>
  <si>
    <t>par an</t>
  </si>
  <si>
    <t>biom pour élec</t>
  </si>
  <si>
    <t xml:space="preserve">   Par rapport à 2015 évolution en % des distances parcourues hors rail</t>
  </si>
  <si>
    <t>pour gaz chaleur</t>
  </si>
  <si>
    <t xml:space="preserve">   Le % d'amélioration de la consommation aux 100 km</t>
  </si>
  <si>
    <t>liqu….elec</t>
  </si>
  <si>
    <t>consomm en équivalent carburant liquide</t>
  </si>
  <si>
    <t>consommation de gaz dont biogaz</t>
  </si>
  <si>
    <t>biom solide chal</t>
  </si>
  <si>
    <t xml:space="preserve">   La consommation d'électicité hors rail sera donc de </t>
  </si>
  <si>
    <t>Mtep élec</t>
  </si>
  <si>
    <t xml:space="preserve">   Le transport par rail consommera </t>
  </si>
  <si>
    <t>consomm carburant liquide</t>
  </si>
  <si>
    <t>La production de biocarburant</t>
  </si>
  <si>
    <t>Rapport d'efficacité moteur électrique / thermique aujourd'hui</t>
  </si>
  <si>
    <t xml:space="preserve">      on pourra produire de 0,4 tep à 1,2 de biocarburant selon que l'on apporte plus ou moins d'énergie extérieure</t>
  </si>
  <si>
    <t>Total</t>
  </si>
  <si>
    <t xml:space="preserve">              la quantité produite à partir d'une tep de biomase est de</t>
  </si>
  <si>
    <t xml:space="preserve">  tep de biocarburant</t>
  </si>
  <si>
    <r>
      <t>Pour la production d'électricité,</t>
    </r>
    <r>
      <rPr>
        <sz val="8"/>
        <rFont val="Arial"/>
        <family val="2"/>
      </rPr>
      <t xml:space="preserve"> pour l'équilibre du tableau et le calcul des émissions de CO2, </t>
    </r>
  </si>
  <si>
    <t>il suffit d'introduire la production à partir de biomasse et à partir de charbon et de gaz d'origine fossile</t>
  </si>
  <si>
    <t>Type d'énergie :</t>
  </si>
  <si>
    <t>Charbon</t>
  </si>
  <si>
    <t>electricité</t>
  </si>
  <si>
    <t>biomasse</t>
  </si>
  <si>
    <t>chauff</t>
  </si>
  <si>
    <t xml:space="preserve">Chaleur </t>
  </si>
  <si>
    <t>gaz</t>
  </si>
  <si>
    <t>biocarb,</t>
  </si>
  <si>
    <t>géoth</t>
  </si>
  <si>
    <t>Consommation finale</t>
  </si>
  <si>
    <t>chauffage</t>
  </si>
  <si>
    <t>solaire</t>
  </si>
  <si>
    <t>fossile</t>
  </si>
  <si>
    <t>biofioul</t>
  </si>
  <si>
    <t>Déchets</t>
  </si>
  <si>
    <t>cons. finale</t>
  </si>
  <si>
    <t>cons finale</t>
  </si>
  <si>
    <t>Ind, agricult - hors prod. de biocarb</t>
  </si>
  <si>
    <t>transport</t>
  </si>
  <si>
    <t>résidentiel tertiaire</t>
  </si>
  <si>
    <t>chaleur : chauffage et ECS</t>
  </si>
  <si>
    <t>électricité spécifique</t>
  </si>
  <si>
    <t>Total énergie finale</t>
  </si>
  <si>
    <t>rendemt</t>
  </si>
  <si>
    <t>CO2 hors élec</t>
  </si>
  <si>
    <t>MtCO2</t>
  </si>
  <si>
    <t>Conso d'élec</t>
  </si>
  <si>
    <t>biom. pour hydrog</t>
  </si>
  <si>
    <t>pour gaz carbur</t>
  </si>
  <si>
    <t xml:space="preserve">   Le % de la consomm de carburant remplacée par de l'électricité</t>
  </si>
  <si>
    <t>Consommation d'hydrogène et PàC</t>
  </si>
  <si>
    <t>Rapport d'efficacité de l'hydrogène et PàC / thermique</t>
  </si>
  <si>
    <t>Pertes stock</t>
  </si>
  <si>
    <t>destck chal</t>
  </si>
  <si>
    <t>eff. Joule</t>
  </si>
  <si>
    <t>Hydro</t>
  </si>
  <si>
    <t>gène</t>
  </si>
  <si>
    <t>bio</t>
  </si>
  <si>
    <t>méthane</t>
  </si>
  <si>
    <t xml:space="preserve">prod </t>
  </si>
  <si>
    <t>pétrol,</t>
  </si>
  <si>
    <t>en TWh</t>
  </si>
  <si>
    <r>
      <t xml:space="preserve">en Mtep </t>
    </r>
    <r>
      <rPr>
        <sz val="8"/>
        <rFont val="Arial"/>
        <family val="2"/>
      </rPr>
      <t xml:space="preserve">    </t>
    </r>
  </si>
  <si>
    <t xml:space="preserve">COP </t>
  </si>
  <si>
    <t>des PAC</t>
  </si>
  <si>
    <t>biomasse pour liquide</t>
  </si>
  <si>
    <t>biocarb et biofioul</t>
  </si>
  <si>
    <t xml:space="preserve">dont biocarburant </t>
  </si>
  <si>
    <t>et PAC</t>
  </si>
  <si>
    <t>Un panorama de la consommation d'énergie : biomasse, chaleur, hydrogène, etc.</t>
  </si>
  <si>
    <t>Elec pour hydrogène</t>
  </si>
  <si>
    <t>pour biocarb</t>
  </si>
  <si>
    <t>élec pour chaleur stockée par PAC / par effet Joule</t>
  </si>
  <si>
    <t>déstockée</t>
  </si>
  <si>
    <t>chal fatale</t>
  </si>
  <si>
    <t xml:space="preserve">Bio énergie pour produire de l'électricité </t>
  </si>
  <si>
    <t xml:space="preserve">Henri Prévot           </t>
  </si>
  <si>
    <t>Calcul des pertes d'énergie</t>
  </si>
  <si>
    <t>Pertes de réseau électrique</t>
  </si>
  <si>
    <t>TWh/an</t>
  </si>
  <si>
    <t>biocarburant</t>
  </si>
  <si>
    <t>Déstockage de chaleur</t>
  </si>
  <si>
    <t>TOTAL</t>
  </si>
  <si>
    <t>Biomasse : pour produire de</t>
  </si>
  <si>
    <t>la chaleur</t>
  </si>
  <si>
    <t>de l'électricité</t>
  </si>
  <si>
    <t>de l'hydrogène</t>
  </si>
  <si>
    <t>du biométhane</t>
  </si>
  <si>
    <t xml:space="preserve">Electrolyse </t>
  </si>
  <si>
    <t>hydrogène</t>
  </si>
  <si>
    <t>importat.</t>
  </si>
  <si>
    <t>en ph.plasma</t>
  </si>
  <si>
    <t>à partir de</t>
  </si>
  <si>
    <t>électrolyse</t>
  </si>
  <si>
    <t>Contre-projet de SNBC     novembre 2021</t>
  </si>
  <si>
    <t>gaz fossile</t>
  </si>
  <si>
    <t>et CCS</t>
  </si>
  <si>
    <t>La chaleur : chauffage et ECS</t>
  </si>
  <si>
    <t>Besoins</t>
  </si>
  <si>
    <t>Chauffage</t>
  </si>
  <si>
    <t>ECS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</si>
</sst>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_-* #,##0.0\ _€_-;\-* #,##0.0\ _€_-;_-* &quot;-&quot;??\ _€_-;_-@_-"/>
    <numFmt numFmtId="173" formatCode="_-* #,##0\ _€_-;\-* #,##0\ _€_-;_-* &quot;-&quot;??\ _€_-;_-@_-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8"/>
      <color indexed="18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9"/>
      <color indexed="10"/>
      <name val="Arial"/>
      <family val="2"/>
    </font>
    <font>
      <sz val="7"/>
      <color indexed="18"/>
      <name val="Arial"/>
      <family val="2"/>
    </font>
    <font>
      <sz val="7"/>
      <color indexed="12"/>
      <name val="Arial"/>
      <family val="2"/>
    </font>
    <font>
      <sz val="8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165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1" fontId="4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9" fontId="7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166" fontId="7" fillId="2" borderId="0" xfId="0" applyNumberFormat="1" applyFont="1" applyFill="1" applyBorder="1" applyAlignment="1">
      <alignment/>
    </xf>
    <xf numFmtId="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9" fontId="12" fillId="2" borderId="0" xfId="0" applyNumberFormat="1" applyFont="1" applyFill="1" applyAlignment="1">
      <alignment horizontal="left"/>
    </xf>
    <xf numFmtId="165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/>
    </xf>
    <xf numFmtId="1" fontId="13" fillId="2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5" fontId="7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15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165" fontId="1" fillId="0" borderId="0" xfId="0" applyNumberFormat="1" applyFont="1" applyFill="1" applyAlignment="1">
      <alignment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3" borderId="4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5" fontId="25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19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165" fontId="20" fillId="4" borderId="0" xfId="0" applyNumberFormat="1" applyFont="1" applyFill="1" applyBorder="1" applyAlignment="1">
      <alignment horizontal="left"/>
    </xf>
    <xf numFmtId="165" fontId="20" fillId="4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1" fillId="4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165" fontId="26" fillId="4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65" fontId="10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5" fontId="15" fillId="3" borderId="5" xfId="0" applyNumberFormat="1" applyFont="1" applyFill="1" applyBorder="1" applyAlignment="1">
      <alignment horizontal="center"/>
    </xf>
    <xf numFmtId="165" fontId="16" fillId="3" borderId="5" xfId="0" applyNumberFormat="1" applyFont="1" applyFill="1" applyBorder="1" applyAlignment="1">
      <alignment horizontal="center"/>
    </xf>
    <xf numFmtId="15" fontId="5" fillId="0" borderId="0" xfId="0" applyNumberFormat="1" applyFont="1" applyAlignment="1">
      <alignment/>
    </xf>
    <xf numFmtId="0" fontId="1" fillId="5" borderId="4" xfId="0" applyFont="1" applyFill="1" applyBorder="1" applyAlignment="1">
      <alignment/>
    </xf>
    <xf numFmtId="0" fontId="1" fillId="5" borderId="4" xfId="0" applyFont="1" applyFill="1" applyBorder="1" applyAlignment="1">
      <alignment horizontal="right"/>
    </xf>
    <xf numFmtId="0" fontId="4" fillId="5" borderId="6" xfId="0" applyFont="1" applyFill="1" applyBorder="1" applyAlignment="1">
      <alignment/>
    </xf>
    <xf numFmtId="14" fontId="1" fillId="0" borderId="0" xfId="0" applyNumberFormat="1" applyFont="1" applyAlignment="1">
      <alignment/>
    </xf>
    <xf numFmtId="165" fontId="13" fillId="3" borderId="0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1" fontId="10" fillId="5" borderId="0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10" fillId="5" borderId="5" xfId="0" applyNumberFormat="1" applyFont="1" applyFill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3" borderId="10" xfId="0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165" fontId="10" fillId="3" borderId="9" xfId="0" applyNumberFormat="1" applyFont="1" applyFill="1" applyBorder="1" applyAlignment="1">
      <alignment/>
    </xf>
    <xf numFmtId="165" fontId="6" fillId="3" borderId="11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right"/>
    </xf>
    <xf numFmtId="2" fontId="11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19" fillId="6" borderId="0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1" fontId="28" fillId="6" borderId="7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73" fontId="0" fillId="0" borderId="0" xfId="15" applyNumberFormat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5" borderId="6" xfId="0" applyFont="1" applyFill="1" applyBorder="1" applyAlignment="1">
      <alignment/>
    </xf>
    <xf numFmtId="0" fontId="1" fillId="5" borderId="7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0" fontId="1" fillId="5" borderId="7" xfId="0" applyFont="1" applyFill="1" applyBorder="1" applyAlignment="1">
      <alignment horizontal="center"/>
    </xf>
    <xf numFmtId="1" fontId="29" fillId="5" borderId="8" xfId="0" applyNumberFormat="1" applyFont="1" applyFill="1" applyBorder="1" applyAlignment="1">
      <alignment horizontal="center"/>
    </xf>
    <xf numFmtId="1" fontId="19" fillId="5" borderId="2" xfId="0" applyNumberFormat="1" applyFont="1" applyFill="1" applyBorder="1" applyAlignment="1">
      <alignment horizontal="center"/>
    </xf>
    <xf numFmtId="2" fontId="19" fillId="5" borderId="3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65" fontId="10" fillId="2" borderId="0" xfId="0" applyNumberFormat="1" applyFont="1" applyFill="1" applyAlignment="1">
      <alignment horizontal="left"/>
    </xf>
    <xf numFmtId="1" fontId="10" fillId="2" borderId="0" xfId="0" applyNumberFormat="1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right"/>
    </xf>
    <xf numFmtId="0" fontId="19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1" fillId="5" borderId="4" xfId="0" applyFont="1" applyFill="1" applyBorder="1" applyAlignment="1">
      <alignment/>
    </xf>
    <xf numFmtId="165" fontId="10" fillId="5" borderId="0" xfId="0" applyNumberFormat="1" applyFont="1" applyFill="1" applyBorder="1" applyAlignment="1">
      <alignment horizontal="center"/>
    </xf>
    <xf numFmtId="1" fontId="10" fillId="5" borderId="5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6" xfId="0" applyFont="1" applyFill="1" applyBorder="1" applyAlignment="1">
      <alignment/>
    </xf>
    <xf numFmtId="165" fontId="10" fillId="5" borderId="7" xfId="0" applyNumberFormat="1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5" borderId="0" xfId="0" applyFont="1" applyFill="1" applyAlignment="1">
      <alignment/>
    </xf>
    <xf numFmtId="165" fontId="11" fillId="5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9" fontId="27" fillId="5" borderId="0" xfId="0" applyNumberFormat="1" applyFont="1" applyFill="1" applyAlignment="1">
      <alignment horizontal="center"/>
    </xf>
    <xf numFmtId="0" fontId="13" fillId="5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3">
      <selection activeCell="E25" sqref="E25"/>
    </sheetView>
  </sheetViews>
  <sheetFormatPr defaultColWidth="11.421875" defaultRowHeight="12.75"/>
  <cols>
    <col min="1" max="1" width="25.140625" style="0" customWidth="1"/>
    <col min="2" max="2" width="8.28125" style="0" customWidth="1"/>
    <col min="3" max="3" width="7.8515625" style="0" customWidth="1"/>
    <col min="4" max="5" width="8.00390625" style="0" customWidth="1"/>
    <col min="6" max="6" width="9.28125" style="0" customWidth="1"/>
    <col min="7" max="7" width="8.140625" style="0" customWidth="1"/>
    <col min="8" max="8" width="6.7109375" style="0" customWidth="1"/>
    <col min="9" max="10" width="8.28125" style="0" customWidth="1"/>
    <col min="11" max="11" width="8.00390625" style="0" customWidth="1"/>
    <col min="12" max="12" width="6.7109375" style="0" customWidth="1"/>
    <col min="13" max="13" width="9.28125" style="0" customWidth="1"/>
    <col min="14" max="14" width="10.00390625" style="0" customWidth="1"/>
    <col min="15" max="15" width="14.140625" style="0" customWidth="1"/>
    <col min="16" max="16" width="9.00390625" style="0" customWidth="1"/>
    <col min="17" max="17" width="7.421875" style="0" customWidth="1"/>
    <col min="18" max="18" width="6.8515625" style="0" customWidth="1"/>
  </cols>
  <sheetData>
    <row r="1" spans="1:18" ht="12.75">
      <c r="A1" s="1" t="s">
        <v>88</v>
      </c>
      <c r="B1" s="98"/>
      <c r="C1" s="2"/>
      <c r="D1" s="165" t="s">
        <v>81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R1" s="4"/>
    </row>
    <row r="2" spans="1:18" ht="12.75">
      <c r="A2" s="168" t="s">
        <v>106</v>
      </c>
      <c r="B2" s="168"/>
      <c r="C2" s="168"/>
      <c r="D2" s="168"/>
      <c r="E2" s="5"/>
      <c r="F2" s="5"/>
      <c r="G2" s="5"/>
      <c r="H2" s="5"/>
      <c r="I2" s="6" t="s">
        <v>0</v>
      </c>
      <c r="J2" s="5"/>
      <c r="K2" s="5"/>
      <c r="L2" s="5"/>
      <c r="M2" s="5"/>
      <c r="N2" s="5"/>
      <c r="O2" s="3"/>
      <c r="P2" s="4"/>
      <c r="Q2" s="4"/>
      <c r="R2" s="4"/>
    </row>
    <row r="3" spans="1:18" ht="12.75">
      <c r="A3" s="94"/>
      <c r="B3" s="78"/>
      <c r="C3" s="78"/>
      <c r="D3" s="78"/>
      <c r="E3" s="78"/>
      <c r="F3" s="78"/>
      <c r="G3" s="78"/>
      <c r="O3" s="6"/>
      <c r="P3" s="4"/>
      <c r="Q3" s="4"/>
      <c r="R3" s="4"/>
    </row>
    <row r="4" spans="1:14" ht="12.75">
      <c r="A4" s="8" t="s">
        <v>1</v>
      </c>
      <c r="B4" s="9"/>
      <c r="C4" s="8"/>
      <c r="D4" s="9"/>
      <c r="E4" s="10">
        <v>30</v>
      </c>
      <c r="F4" s="11">
        <f>E4*11.6</f>
        <v>348</v>
      </c>
      <c r="G4" s="12" t="s">
        <v>2</v>
      </c>
      <c r="H4" s="9"/>
      <c r="I4" s="9"/>
      <c r="J4" s="9"/>
      <c r="K4" s="9"/>
      <c r="L4" s="8"/>
      <c r="M4" s="13"/>
      <c r="N4" s="8"/>
    </row>
    <row r="5" spans="1:14" ht="12.75">
      <c r="A5" s="8" t="s">
        <v>3</v>
      </c>
      <c r="B5" s="9"/>
      <c r="C5" s="8"/>
      <c r="D5" s="9"/>
      <c r="E5" s="14"/>
      <c r="F5" s="9"/>
      <c r="G5" s="15"/>
      <c r="H5" s="9"/>
      <c r="I5" s="9"/>
      <c r="J5" s="9"/>
      <c r="K5" s="9"/>
      <c r="L5" s="8"/>
      <c r="M5" s="13"/>
      <c r="N5" s="8"/>
    </row>
    <row r="6" spans="1:14" ht="12.75">
      <c r="A6" s="15" t="s">
        <v>5</v>
      </c>
      <c r="B6" s="9"/>
      <c r="C6" s="8"/>
      <c r="D6" s="9"/>
      <c r="E6" s="16">
        <v>-0.2</v>
      </c>
      <c r="F6" s="9"/>
      <c r="G6" s="15" t="s">
        <v>6</v>
      </c>
      <c r="H6" s="9"/>
      <c r="I6" s="9"/>
      <c r="J6" s="9"/>
      <c r="K6" s="17">
        <f>N25*(1+E6)</f>
        <v>42.160000000000004</v>
      </c>
      <c r="L6" s="8" t="s">
        <v>7</v>
      </c>
      <c r="M6" s="18">
        <f>K6*11.6</f>
        <v>489.05600000000004</v>
      </c>
      <c r="N6" s="15" t="s">
        <v>2</v>
      </c>
    </row>
    <row r="7" spans="1:14" ht="12.75">
      <c r="A7" s="8" t="s">
        <v>8</v>
      </c>
      <c r="B7" s="19"/>
      <c r="C7" s="8"/>
      <c r="D7" s="9"/>
      <c r="E7" s="14"/>
      <c r="F7" s="9"/>
      <c r="G7" s="15" t="s">
        <v>9</v>
      </c>
      <c r="H7" s="20">
        <f>(N25*(1+M7)^30-K6)/(N25*(1+M7)^30)</f>
        <v>0.35105801873915776</v>
      </c>
      <c r="I7" s="15" t="s">
        <v>10</v>
      </c>
      <c r="J7" s="9"/>
      <c r="K7" s="9"/>
      <c r="L7" s="8"/>
      <c r="M7" s="21">
        <v>0.007</v>
      </c>
      <c r="N7" s="15" t="s">
        <v>11</v>
      </c>
    </row>
    <row r="8" spans="1:14" ht="12.75">
      <c r="A8" s="15" t="s">
        <v>13</v>
      </c>
      <c r="B8" s="9"/>
      <c r="C8" s="8"/>
      <c r="D8" s="9"/>
      <c r="E8" s="22">
        <v>0.09</v>
      </c>
      <c r="F8" s="23"/>
      <c r="G8" s="9"/>
      <c r="H8" s="9"/>
      <c r="I8" s="9"/>
      <c r="J8" s="9"/>
      <c r="K8" s="9"/>
      <c r="L8" s="8"/>
      <c r="M8" s="13"/>
      <c r="N8" s="8"/>
    </row>
    <row r="9" spans="1:14" ht="12.75">
      <c r="A9" s="15" t="s">
        <v>15</v>
      </c>
      <c r="B9" s="9"/>
      <c r="C9" s="8"/>
      <c r="D9" s="15" t="s">
        <v>16</v>
      </c>
      <c r="E9" s="22">
        <v>0.3</v>
      </c>
      <c r="F9" s="24">
        <v>0.3</v>
      </c>
      <c r="G9" s="15" t="s">
        <v>17</v>
      </c>
      <c r="H9" s="9"/>
      <c r="I9" s="9"/>
      <c r="J9" s="8"/>
      <c r="K9" s="17">
        <f>48.4*(1+E8)*(1-E9)</f>
        <v>36.929199999999994</v>
      </c>
      <c r="L9" s="13" t="s">
        <v>7</v>
      </c>
      <c r="M9" s="18">
        <f>K9*11.6</f>
        <v>428.37871999999993</v>
      </c>
      <c r="N9" s="15" t="s">
        <v>2</v>
      </c>
    </row>
    <row r="10" spans="1:14" ht="12.75">
      <c r="A10" s="15" t="s">
        <v>61</v>
      </c>
      <c r="B10" s="9"/>
      <c r="C10" s="8"/>
      <c r="D10" s="9"/>
      <c r="E10" s="16">
        <v>0.73</v>
      </c>
      <c r="F10" s="9"/>
      <c r="G10" s="8"/>
      <c r="H10" s="15" t="s">
        <v>18</v>
      </c>
      <c r="I10" s="9"/>
      <c r="J10" s="8"/>
      <c r="K10" s="10">
        <v>3</v>
      </c>
      <c r="L10" s="13" t="s">
        <v>7</v>
      </c>
      <c r="M10" s="18">
        <f>K10*11.6</f>
        <v>34.8</v>
      </c>
      <c r="N10" s="15" t="s">
        <v>2</v>
      </c>
    </row>
    <row r="11" spans="1:14" ht="12.75">
      <c r="A11" s="15" t="s">
        <v>20</v>
      </c>
      <c r="B11" s="9"/>
      <c r="C11" s="8"/>
      <c r="D11" s="9"/>
      <c r="E11" s="25">
        <f>E10*48.4/N13/(1-E8)*(1-F9)</f>
        <v>9.059487179487178</v>
      </c>
      <c r="F11" s="15" t="s">
        <v>21</v>
      </c>
      <c r="G11" s="26"/>
      <c r="H11" s="15" t="s">
        <v>62</v>
      </c>
      <c r="I11" s="9"/>
      <c r="J11" s="15"/>
      <c r="K11" s="25">
        <f>M11/11.6</f>
        <v>2.586206896551724</v>
      </c>
      <c r="L11" s="13" t="s">
        <v>7</v>
      </c>
      <c r="M11" s="27">
        <v>30</v>
      </c>
      <c r="N11" s="15" t="s">
        <v>2</v>
      </c>
    </row>
    <row r="12" spans="1:14" ht="12.75">
      <c r="A12" s="15" t="s">
        <v>22</v>
      </c>
      <c r="B12" s="9"/>
      <c r="C12" s="8"/>
      <c r="D12" s="9"/>
      <c r="E12" s="14">
        <v>1.8</v>
      </c>
      <c r="F12" s="15" t="s">
        <v>21</v>
      </c>
      <c r="G12" s="15"/>
      <c r="H12" s="15" t="s">
        <v>23</v>
      </c>
      <c r="I12" s="9"/>
      <c r="J12" s="8"/>
      <c r="K12" s="17">
        <f>(1-E10)*K9-K10-K11*N14</f>
        <v>3.0915736551724136</v>
      </c>
      <c r="L12" s="13" t="s">
        <v>7</v>
      </c>
      <c r="M12" s="18">
        <f>K12*11.6</f>
        <v>35.8622544</v>
      </c>
      <c r="N12" s="15" t="s">
        <v>2</v>
      </c>
    </row>
    <row r="13" spans="1:14" ht="12.75">
      <c r="A13" s="8" t="s">
        <v>24</v>
      </c>
      <c r="B13" s="9"/>
      <c r="C13" s="8"/>
      <c r="D13" s="9"/>
      <c r="E13" s="14"/>
      <c r="F13" s="14"/>
      <c r="G13" s="9"/>
      <c r="H13" s="29"/>
      <c r="I13" s="30" t="s">
        <v>25</v>
      </c>
      <c r="J13" s="72"/>
      <c r="K13" s="30"/>
      <c r="L13" s="30"/>
      <c r="M13" s="30"/>
      <c r="N13" s="31">
        <v>3</v>
      </c>
    </row>
    <row r="14" spans="1:14" ht="13.5" thickBot="1">
      <c r="A14" s="15" t="s">
        <v>26</v>
      </c>
      <c r="B14" s="9"/>
      <c r="C14" s="8"/>
      <c r="D14" s="9"/>
      <c r="E14" s="14"/>
      <c r="F14" s="14"/>
      <c r="G14" s="9"/>
      <c r="H14" s="9"/>
      <c r="I14" s="30" t="s">
        <v>63</v>
      </c>
      <c r="J14" s="72"/>
      <c r="K14" s="30"/>
      <c r="L14" s="30"/>
      <c r="M14" s="30"/>
      <c r="N14" s="32">
        <v>1.5</v>
      </c>
    </row>
    <row r="15" spans="1:14" ht="12.75">
      <c r="A15" s="15" t="s">
        <v>28</v>
      </c>
      <c r="B15" s="9"/>
      <c r="C15" s="8"/>
      <c r="D15" s="9"/>
      <c r="E15" s="14">
        <v>0.4</v>
      </c>
      <c r="F15" s="15" t="s">
        <v>29</v>
      </c>
      <c r="G15" s="8"/>
      <c r="H15" s="169" t="s">
        <v>101</v>
      </c>
      <c r="I15" s="170"/>
      <c r="J15" s="149" t="s">
        <v>107</v>
      </c>
      <c r="K15" s="149" t="s">
        <v>107</v>
      </c>
      <c r="L15" s="143"/>
      <c r="M15" s="149"/>
      <c r="N15" s="150"/>
    </row>
    <row r="16" spans="1:14" ht="12.75">
      <c r="A16" s="8" t="s">
        <v>30</v>
      </c>
      <c r="B16" s="9"/>
      <c r="C16" s="8"/>
      <c r="D16" s="9"/>
      <c r="E16" s="14"/>
      <c r="F16" s="15"/>
      <c r="G16" s="15"/>
      <c r="H16" s="171" t="s">
        <v>104</v>
      </c>
      <c r="I16" s="172"/>
      <c r="J16" s="151" t="s">
        <v>108</v>
      </c>
      <c r="K16" s="151" t="s">
        <v>103</v>
      </c>
      <c r="L16" s="151" t="s">
        <v>35</v>
      </c>
      <c r="M16" s="151" t="s">
        <v>102</v>
      </c>
      <c r="N16" s="152" t="s">
        <v>105</v>
      </c>
    </row>
    <row r="17" spans="1:14" ht="13.5" thickBot="1">
      <c r="A17" s="15" t="s">
        <v>31</v>
      </c>
      <c r="B17" s="9"/>
      <c r="C17" s="8"/>
      <c r="D17" s="9"/>
      <c r="E17" s="14"/>
      <c r="F17" s="15"/>
      <c r="G17" s="15"/>
      <c r="H17" s="140"/>
      <c r="I17" s="141" t="s">
        <v>2</v>
      </c>
      <c r="J17" s="147">
        <v>0</v>
      </c>
      <c r="K17" s="144">
        <v>0</v>
      </c>
      <c r="L17" s="142">
        <v>0</v>
      </c>
      <c r="M17" s="145">
        <v>0</v>
      </c>
      <c r="N17" s="148">
        <f>H34-J17-L17-K17-M17</f>
        <v>105.39999999999999</v>
      </c>
    </row>
    <row r="18" spans="1:18" ht="13.5" thickBot="1">
      <c r="A18" s="7"/>
      <c r="B18" s="3"/>
      <c r="C18" s="3"/>
      <c r="D18" s="3"/>
      <c r="E18" s="3"/>
      <c r="F18" s="3"/>
      <c r="G18" s="3"/>
      <c r="H18" s="33"/>
      <c r="I18" s="3"/>
      <c r="J18" s="3"/>
      <c r="K18" s="3"/>
      <c r="L18" s="3"/>
      <c r="M18" s="33"/>
      <c r="N18" s="34">
        <v>2015</v>
      </c>
      <c r="P18" s="4"/>
      <c r="Q18" s="4"/>
      <c r="R18" s="4"/>
    </row>
    <row r="19" spans="1:18" ht="12.75">
      <c r="A19" s="35" t="s">
        <v>32</v>
      </c>
      <c r="B19" s="36" t="s">
        <v>33</v>
      </c>
      <c r="C19" s="36" t="s">
        <v>34</v>
      </c>
      <c r="D19" s="36" t="s">
        <v>35</v>
      </c>
      <c r="E19" s="36" t="s">
        <v>36</v>
      </c>
      <c r="F19" s="36" t="s">
        <v>37</v>
      </c>
      <c r="G19" s="36" t="s">
        <v>38</v>
      </c>
      <c r="H19" s="79" t="s">
        <v>67</v>
      </c>
      <c r="I19" s="36" t="s">
        <v>69</v>
      </c>
      <c r="J19" s="36" t="s">
        <v>39</v>
      </c>
      <c r="K19" s="36" t="s">
        <v>40</v>
      </c>
      <c r="L19" s="36" t="s">
        <v>71</v>
      </c>
      <c r="M19" s="37" t="s">
        <v>27</v>
      </c>
      <c r="N19" s="34" t="s">
        <v>27</v>
      </c>
      <c r="P19" s="38"/>
      <c r="Q19" s="4"/>
      <c r="R19" s="4"/>
    </row>
    <row r="20" spans="1:18" ht="12.75">
      <c r="A20" s="39" t="s">
        <v>41</v>
      </c>
      <c r="B20" s="40"/>
      <c r="C20" s="40"/>
      <c r="D20" s="40" t="s">
        <v>42</v>
      </c>
      <c r="E20" s="40" t="s">
        <v>43</v>
      </c>
      <c r="F20" s="41" t="s">
        <v>85</v>
      </c>
      <c r="G20" s="40" t="s">
        <v>44</v>
      </c>
      <c r="H20" s="80" t="s">
        <v>68</v>
      </c>
      <c r="I20" s="40" t="s">
        <v>70</v>
      </c>
      <c r="J20" s="40" t="s">
        <v>45</v>
      </c>
      <c r="K20" s="41" t="s">
        <v>46</v>
      </c>
      <c r="L20" s="40" t="s">
        <v>72</v>
      </c>
      <c r="M20" s="42" t="s">
        <v>47</v>
      </c>
      <c r="N20" s="34" t="s">
        <v>48</v>
      </c>
      <c r="P20" s="43"/>
      <c r="Q20" s="4"/>
      <c r="R20" s="57"/>
    </row>
    <row r="21" spans="1:18" ht="12.75">
      <c r="A21" s="44" t="s">
        <v>74</v>
      </c>
      <c r="B21" s="41"/>
      <c r="C21" s="41"/>
      <c r="D21" s="41"/>
      <c r="E21" s="41" t="s">
        <v>80</v>
      </c>
      <c r="F21" s="111"/>
      <c r="G21" s="41"/>
      <c r="H21" s="33"/>
      <c r="I21" s="41"/>
      <c r="J21" s="41"/>
      <c r="K21" s="102" t="s">
        <v>86</v>
      </c>
      <c r="L21" s="41"/>
      <c r="M21" s="45" t="s">
        <v>7</v>
      </c>
      <c r="N21" s="34" t="s">
        <v>7</v>
      </c>
      <c r="P21" s="38"/>
      <c r="Q21" s="4"/>
      <c r="R21" s="57"/>
    </row>
    <row r="22" spans="1:18" ht="12.75">
      <c r="A22" s="46" t="s">
        <v>49</v>
      </c>
      <c r="B22" s="55">
        <v>0</v>
      </c>
      <c r="C22" s="52">
        <v>19</v>
      </c>
      <c r="D22" s="55">
        <v>1</v>
      </c>
      <c r="E22" s="85">
        <v>2.5</v>
      </c>
      <c r="F22" s="86">
        <v>0</v>
      </c>
      <c r="G22" s="87">
        <f>M22-B22-C22-D22-E22-F22-H22-I22-J22-K22-L22</f>
        <v>0.3999999999999986</v>
      </c>
      <c r="H22" s="84">
        <v>6.5</v>
      </c>
      <c r="I22" s="55">
        <v>3</v>
      </c>
      <c r="J22" s="55">
        <v>1</v>
      </c>
      <c r="K22" s="55">
        <v>2</v>
      </c>
      <c r="L22" s="55">
        <v>0</v>
      </c>
      <c r="M22" s="89">
        <v>35.4</v>
      </c>
      <c r="N22" s="110">
        <v>32.9</v>
      </c>
      <c r="P22" s="4"/>
      <c r="Q22" s="4"/>
      <c r="R22" s="58"/>
    </row>
    <row r="23" spans="1:18" ht="12.75">
      <c r="A23" s="46" t="s">
        <v>50</v>
      </c>
      <c r="B23" s="47"/>
      <c r="C23" s="48">
        <f>E$11+E$12</f>
        <v>10.859487179487179</v>
      </c>
      <c r="D23" s="47"/>
      <c r="E23" s="47"/>
      <c r="F23" s="47"/>
      <c r="G23" s="48">
        <f>K$10-I23</f>
        <v>1</v>
      </c>
      <c r="H23" s="82">
        <f>K$11</f>
        <v>2.586206896551724</v>
      </c>
      <c r="I23" s="99">
        <v>2</v>
      </c>
      <c r="J23" s="48">
        <f>H$41</f>
        <v>3.0421455938697317</v>
      </c>
      <c r="K23" s="49">
        <v>0</v>
      </c>
      <c r="L23" s="48">
        <f>K$12-J23</f>
        <v>0.04942806130268185</v>
      </c>
      <c r="M23" s="90">
        <f>C23+G23+H23+I23+J23+L23</f>
        <v>19.53726773121132</v>
      </c>
      <c r="N23" s="110">
        <v>49.4</v>
      </c>
      <c r="P23" s="4"/>
      <c r="Q23" s="4"/>
      <c r="R23" s="59"/>
    </row>
    <row r="24" spans="1:18" ht="12.75">
      <c r="A24" s="46" t="s">
        <v>51</v>
      </c>
      <c r="B24" s="50"/>
      <c r="C24" s="50"/>
      <c r="D24" s="50"/>
      <c r="E24" s="50">
        <v>1</v>
      </c>
      <c r="F24" s="50"/>
      <c r="G24" s="50"/>
      <c r="H24" s="83"/>
      <c r="I24" s="50"/>
      <c r="J24" s="50"/>
      <c r="K24" s="50"/>
      <c r="L24" s="50"/>
      <c r="M24" s="91"/>
      <c r="N24" s="110"/>
      <c r="P24" s="4"/>
      <c r="Q24" s="4"/>
      <c r="R24" s="60"/>
    </row>
    <row r="25" spans="1:18" ht="12.75">
      <c r="A25" s="51" t="s">
        <v>52</v>
      </c>
      <c r="B25" s="47"/>
      <c r="C25" s="52">
        <v>14.5</v>
      </c>
      <c r="D25" s="53">
        <v>4</v>
      </c>
      <c r="E25" s="48">
        <f>(J43-1)*(C25-L43)</f>
        <v>21</v>
      </c>
      <c r="F25" s="54">
        <f>(C35*L$40+D35)*(1-N$40)/11.6</f>
        <v>0</v>
      </c>
      <c r="G25" s="48">
        <f>M25-C25-D25-E25-E24-F25-H25-I25-J25-K25-L25</f>
        <v>-0.3399999999999963</v>
      </c>
      <c r="H25" s="84">
        <v>0</v>
      </c>
      <c r="I25" s="55">
        <v>1</v>
      </c>
      <c r="J25" s="55">
        <v>1</v>
      </c>
      <c r="K25" s="55">
        <v>0</v>
      </c>
      <c r="L25" s="55">
        <v>0</v>
      </c>
      <c r="M25" s="92">
        <f>K$6</f>
        <v>42.160000000000004</v>
      </c>
      <c r="N25" s="110">
        <v>52.7</v>
      </c>
      <c r="P25" s="4"/>
      <c r="Q25" s="4"/>
      <c r="R25" s="61"/>
    </row>
    <row r="26" spans="1:18" ht="12.75">
      <c r="A26" s="51" t="s">
        <v>53</v>
      </c>
      <c r="B26" s="50"/>
      <c r="C26" s="48">
        <f>M26</f>
        <v>16</v>
      </c>
      <c r="D26" s="49"/>
      <c r="E26" s="49"/>
      <c r="F26" s="49"/>
      <c r="G26" s="88"/>
      <c r="H26" s="83"/>
      <c r="I26" s="49"/>
      <c r="J26" s="49"/>
      <c r="K26" s="49"/>
      <c r="L26" s="49"/>
      <c r="M26" s="93">
        <v>16</v>
      </c>
      <c r="N26" s="110">
        <v>14.1</v>
      </c>
      <c r="P26" s="4"/>
      <c r="Q26" s="4"/>
      <c r="R26" s="62"/>
    </row>
    <row r="27" spans="1:18" ht="13.5" thickBot="1">
      <c r="A27" s="113" t="s">
        <v>54</v>
      </c>
      <c r="B27" s="114">
        <f>B22+B23+B25+B26</f>
        <v>0</v>
      </c>
      <c r="C27" s="115">
        <f>C22+C23+C25+C26</f>
        <v>60.359487179487175</v>
      </c>
      <c r="D27" s="114">
        <f>D22+D23+D25+D26</f>
        <v>5</v>
      </c>
      <c r="E27" s="115">
        <f>E22+E23+E24+E25+E26</f>
        <v>24.5</v>
      </c>
      <c r="F27" s="115">
        <f>F22+F25</f>
        <v>0</v>
      </c>
      <c r="G27" s="115">
        <f>G22+G23+G25+G26</f>
        <v>1.0600000000000023</v>
      </c>
      <c r="H27" s="116">
        <f>H22+H23+H25</f>
        <v>9.086206896551724</v>
      </c>
      <c r="I27" s="114">
        <f>I22+I23+I25+I26</f>
        <v>6</v>
      </c>
      <c r="J27" s="115">
        <f>J22+J23+J25+J26</f>
        <v>5.042145593869732</v>
      </c>
      <c r="K27" s="109">
        <f>K22+K23+K25+K26</f>
        <v>2</v>
      </c>
      <c r="L27" s="115">
        <f>L22+L23+L25+L26</f>
        <v>0.04942806130268185</v>
      </c>
      <c r="M27" s="117">
        <f>B27+C27+D27+E27+F27+G27+H27+I27+J27+K27+L27</f>
        <v>113.09726773121132</v>
      </c>
      <c r="N27" s="118">
        <v>149</v>
      </c>
      <c r="P27" s="4"/>
      <c r="Q27" s="4"/>
      <c r="R27" s="61"/>
    </row>
    <row r="28" spans="1:18" ht="13.5" thickTop="1">
      <c r="A28" s="44" t="s">
        <v>73</v>
      </c>
      <c r="B28" s="41"/>
      <c r="C28" s="41"/>
      <c r="D28" s="41"/>
      <c r="E28" s="41"/>
      <c r="F28" s="41"/>
      <c r="G28" s="41"/>
      <c r="H28" s="33"/>
      <c r="I28" s="41"/>
      <c r="J28" s="41"/>
      <c r="K28" s="81"/>
      <c r="L28" s="41"/>
      <c r="M28" s="112" t="s">
        <v>2</v>
      </c>
      <c r="N28" s="40" t="s">
        <v>2</v>
      </c>
      <c r="O28" s="76"/>
      <c r="P28" s="4"/>
      <c r="Q28" s="4"/>
      <c r="R28" s="57"/>
    </row>
    <row r="29" spans="1:18" ht="12.75">
      <c r="A29" s="95" t="s">
        <v>49</v>
      </c>
      <c r="B29" s="104">
        <f>B22*11.6</f>
        <v>0</v>
      </c>
      <c r="C29" s="105">
        <f aca="true" t="shared" si="0" ref="C29:M29">C22*11.6</f>
        <v>220.4</v>
      </c>
      <c r="D29" s="104">
        <f t="shared" si="0"/>
        <v>11.6</v>
      </c>
      <c r="E29" s="104">
        <f t="shared" si="0"/>
        <v>29</v>
      </c>
      <c r="F29" s="104">
        <f t="shared" si="0"/>
        <v>0</v>
      </c>
      <c r="G29" s="104">
        <f t="shared" si="0"/>
        <v>4.639999999999984</v>
      </c>
      <c r="H29" s="104">
        <f t="shared" si="0"/>
        <v>75.39999999999999</v>
      </c>
      <c r="I29" s="104">
        <f t="shared" si="0"/>
        <v>34.8</v>
      </c>
      <c r="J29" s="104">
        <f t="shared" si="0"/>
        <v>11.6</v>
      </c>
      <c r="K29" s="104">
        <f t="shared" si="0"/>
        <v>23.2</v>
      </c>
      <c r="L29" s="104">
        <f t="shared" si="0"/>
        <v>0</v>
      </c>
      <c r="M29" s="106">
        <f t="shared" si="0"/>
        <v>410.64</v>
      </c>
      <c r="N29" s="77">
        <f>N22*11.6</f>
        <v>381.64</v>
      </c>
      <c r="O29" s="76"/>
      <c r="P29" s="4"/>
      <c r="Q29" s="4"/>
      <c r="R29" s="57"/>
    </row>
    <row r="30" spans="1:18" ht="12.75">
      <c r="A30" s="95" t="s">
        <v>50</v>
      </c>
      <c r="B30" s="104"/>
      <c r="C30" s="104">
        <f aca="true" t="shared" si="1" ref="C30:N30">C23*11.6</f>
        <v>125.97005128205127</v>
      </c>
      <c r="D30" s="104">
        <f t="shared" si="1"/>
        <v>0</v>
      </c>
      <c r="E30" s="104">
        <f t="shared" si="1"/>
        <v>0</v>
      </c>
      <c r="F30" s="104">
        <f t="shared" si="1"/>
        <v>0</v>
      </c>
      <c r="G30" s="104">
        <f t="shared" si="1"/>
        <v>11.6</v>
      </c>
      <c r="H30" s="104">
        <f t="shared" si="1"/>
        <v>30</v>
      </c>
      <c r="I30" s="104">
        <f t="shared" si="1"/>
        <v>23.2</v>
      </c>
      <c r="J30" s="104">
        <f t="shared" si="1"/>
        <v>35.288888888888884</v>
      </c>
      <c r="K30" s="104">
        <f t="shared" si="1"/>
        <v>0</v>
      </c>
      <c r="L30" s="104">
        <f t="shared" si="1"/>
        <v>0.5733655111111094</v>
      </c>
      <c r="M30" s="106">
        <f t="shared" si="1"/>
        <v>226.63230568205128</v>
      </c>
      <c r="N30" s="77">
        <f t="shared" si="1"/>
        <v>573.04</v>
      </c>
      <c r="O30" s="76"/>
      <c r="P30" s="4"/>
      <c r="Q30" s="4"/>
      <c r="R30" s="57"/>
    </row>
    <row r="31" spans="1:18" ht="12.75">
      <c r="A31" s="95" t="s">
        <v>51</v>
      </c>
      <c r="B31" s="104"/>
      <c r="C31" s="104"/>
      <c r="D31" s="104"/>
      <c r="E31" s="104">
        <f aca="true" t="shared" si="2" ref="C31:N32">E24*11.6</f>
        <v>11.6</v>
      </c>
      <c r="F31" s="104"/>
      <c r="G31" s="104"/>
      <c r="H31" s="104"/>
      <c r="I31" s="104"/>
      <c r="J31" s="104"/>
      <c r="K31" s="104"/>
      <c r="L31" s="104"/>
      <c r="M31" s="106"/>
      <c r="N31" s="77">
        <f>N24*11.6</f>
        <v>0</v>
      </c>
      <c r="O31" s="76"/>
      <c r="P31" s="4"/>
      <c r="Q31" s="4"/>
      <c r="R31" s="57"/>
    </row>
    <row r="32" spans="1:18" ht="12.75">
      <c r="A32" s="96" t="s">
        <v>52</v>
      </c>
      <c r="B32" s="104"/>
      <c r="C32" s="104">
        <f t="shared" si="2"/>
        <v>168.2</v>
      </c>
      <c r="D32" s="104">
        <f t="shared" si="2"/>
        <v>46.4</v>
      </c>
      <c r="E32" s="104">
        <f t="shared" si="2"/>
        <v>243.6</v>
      </c>
      <c r="F32" s="104">
        <f t="shared" si="2"/>
        <v>0</v>
      </c>
      <c r="G32" s="104">
        <f t="shared" si="2"/>
        <v>-3.943999999999957</v>
      </c>
      <c r="H32" s="104">
        <f t="shared" si="2"/>
        <v>0</v>
      </c>
      <c r="I32" s="104">
        <f t="shared" si="2"/>
        <v>11.6</v>
      </c>
      <c r="J32" s="104">
        <f t="shared" si="2"/>
        <v>11.6</v>
      </c>
      <c r="K32" s="104">
        <f t="shared" si="2"/>
        <v>0</v>
      </c>
      <c r="L32" s="104">
        <f t="shared" si="2"/>
        <v>0</v>
      </c>
      <c r="M32" s="106">
        <f t="shared" si="2"/>
        <v>489.05600000000004</v>
      </c>
      <c r="N32" s="77">
        <f t="shared" si="2"/>
        <v>611.32</v>
      </c>
      <c r="O32" s="76"/>
      <c r="P32" s="4"/>
      <c r="Q32" s="4"/>
      <c r="R32" s="57"/>
    </row>
    <row r="33" spans="1:18" ht="12.75">
      <c r="A33" s="96" t="s">
        <v>53</v>
      </c>
      <c r="B33" s="104"/>
      <c r="C33" s="104">
        <f>C26*11.6</f>
        <v>185.6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6">
        <f>M26*11.6</f>
        <v>185.6</v>
      </c>
      <c r="N33" s="77">
        <f>N26*11.6</f>
        <v>163.56</v>
      </c>
      <c r="O33" s="76"/>
      <c r="P33" s="4"/>
      <c r="Q33" s="4"/>
      <c r="R33" s="57"/>
    </row>
    <row r="34" spans="1:18" ht="13.5" thickBot="1">
      <c r="A34" s="97" t="s">
        <v>54</v>
      </c>
      <c r="B34" s="107">
        <f aca="true" t="shared" si="3" ref="B34:N34">B27*11.6</f>
        <v>0</v>
      </c>
      <c r="C34" s="107">
        <f t="shared" si="3"/>
        <v>700.1700512820512</v>
      </c>
      <c r="D34" s="107">
        <f t="shared" si="3"/>
        <v>58</v>
      </c>
      <c r="E34" s="107">
        <f t="shared" si="3"/>
        <v>284.2</v>
      </c>
      <c r="F34" s="107">
        <f t="shared" si="3"/>
        <v>0</v>
      </c>
      <c r="G34" s="107">
        <f t="shared" si="3"/>
        <v>12.296000000000026</v>
      </c>
      <c r="H34" s="107">
        <f t="shared" si="3"/>
        <v>105.39999999999999</v>
      </c>
      <c r="I34" s="107">
        <f t="shared" si="3"/>
        <v>69.6</v>
      </c>
      <c r="J34" s="107">
        <f t="shared" si="3"/>
        <v>58.48888888888889</v>
      </c>
      <c r="K34" s="107">
        <f t="shared" si="3"/>
        <v>23.2</v>
      </c>
      <c r="L34" s="107">
        <f t="shared" si="3"/>
        <v>0.5733655111111094</v>
      </c>
      <c r="M34" s="108">
        <f t="shared" si="3"/>
        <v>1311.9283056820511</v>
      </c>
      <c r="N34" s="77">
        <f t="shared" si="3"/>
        <v>1728.3999999999999</v>
      </c>
      <c r="O34" s="76"/>
      <c r="P34" s="4"/>
      <c r="Q34" s="4"/>
      <c r="R34" s="57"/>
    </row>
    <row r="35" spans="1:14" ht="12.75">
      <c r="A35" s="64" t="s">
        <v>84</v>
      </c>
      <c r="B35" s="64"/>
      <c r="C35" s="101">
        <v>0</v>
      </c>
      <c r="D35" s="69">
        <v>0</v>
      </c>
      <c r="E35" s="65"/>
      <c r="F35" s="167" t="s">
        <v>82</v>
      </c>
      <c r="G35" s="167"/>
      <c r="H35" s="66">
        <f>N17*1.4+0.5*K17</f>
        <v>147.55999999999997</v>
      </c>
      <c r="I35" s="100" t="s">
        <v>83</v>
      </c>
      <c r="J35" s="67">
        <f>2.5*(E$15-0.4)*J34</f>
        <v>0</v>
      </c>
      <c r="K35" s="166" t="s">
        <v>58</v>
      </c>
      <c r="L35" s="166"/>
      <c r="M35" s="71">
        <f>C34+C35+D35+H35+J35</f>
        <v>847.7300512820511</v>
      </c>
      <c r="N35" s="68" t="s">
        <v>2</v>
      </c>
    </row>
    <row r="36" spans="1:14" ht="13.5" thickBot="1">
      <c r="A36" s="127" t="s">
        <v>87</v>
      </c>
      <c r="B36" s="128" t="s">
        <v>2</v>
      </c>
      <c r="C36" s="129">
        <v>60</v>
      </c>
      <c r="D36" s="158"/>
      <c r="E36" s="158"/>
      <c r="F36" s="158"/>
      <c r="G36" s="158"/>
      <c r="H36" s="156"/>
      <c r="I36" s="156"/>
      <c r="J36" s="157"/>
      <c r="K36" s="78"/>
      <c r="L36" s="146" t="s">
        <v>56</v>
      </c>
      <c r="M36" s="63">
        <f>(B27+0.9*L27+0.7*G27)*44/12</f>
        <v>2.8837792689655224</v>
      </c>
      <c r="N36" s="33" t="s">
        <v>57</v>
      </c>
    </row>
    <row r="37" spans="1:14" ht="12.75">
      <c r="A37" s="75"/>
      <c r="B37" s="73"/>
      <c r="C37" s="74"/>
      <c r="D37" s="103"/>
      <c r="E37" s="78"/>
      <c r="F37" s="153"/>
      <c r="G37" s="153"/>
      <c r="H37" s="154"/>
      <c r="I37" s="161"/>
      <c r="J37" s="161"/>
      <c r="K37" s="155"/>
      <c r="L37" s="137"/>
      <c r="M37" s="138"/>
      <c r="N37" s="139"/>
    </row>
    <row r="38" spans="1:14" ht="13.5" thickBot="1">
      <c r="A38" s="119" t="s">
        <v>4</v>
      </c>
      <c r="B38" s="120" t="s">
        <v>55</v>
      </c>
      <c r="C38" s="120" t="s">
        <v>7</v>
      </c>
      <c r="D38" s="120" t="s">
        <v>2</v>
      </c>
      <c r="E38" s="72"/>
      <c r="F38" s="72"/>
      <c r="G38" s="120" t="s">
        <v>55</v>
      </c>
      <c r="H38" s="120" t="s">
        <v>7</v>
      </c>
      <c r="I38" s="120" t="s">
        <v>2</v>
      </c>
      <c r="J38" s="174" t="s">
        <v>109</v>
      </c>
      <c r="K38" s="174"/>
      <c r="L38" s="174"/>
      <c r="M38" s="174"/>
      <c r="N38" s="174"/>
    </row>
    <row r="39" spans="1:14" ht="12.75">
      <c r="A39" s="121" t="s">
        <v>12</v>
      </c>
      <c r="B39" s="122"/>
      <c r="C39" s="123">
        <f>D39/11.6</f>
        <v>5.172413793103448</v>
      </c>
      <c r="D39" s="123">
        <f>C36</f>
        <v>60</v>
      </c>
      <c r="E39" s="164" t="s">
        <v>77</v>
      </c>
      <c r="F39" s="164"/>
      <c r="G39" s="72"/>
      <c r="H39" s="25">
        <f>E4-C39-C40-C42-C43-C41</f>
        <v>12.605363984674328</v>
      </c>
      <c r="I39" s="123">
        <f>H39*11.6</f>
        <v>146.2222222222222</v>
      </c>
      <c r="J39" s="175"/>
      <c r="K39" s="176" t="s">
        <v>110</v>
      </c>
      <c r="L39" s="177" t="s">
        <v>7</v>
      </c>
      <c r="M39" s="178" t="s">
        <v>2</v>
      </c>
      <c r="N39" s="179"/>
    </row>
    <row r="40" spans="1:14" ht="12.75">
      <c r="A40" s="121" t="s">
        <v>14</v>
      </c>
      <c r="B40" s="122">
        <v>0.9</v>
      </c>
      <c r="C40" s="25">
        <f>(I22+I25)/B40</f>
        <v>4.444444444444445</v>
      </c>
      <c r="D40" s="123">
        <f>C40*11.6</f>
        <v>51.55555555555556</v>
      </c>
      <c r="E40" s="164" t="s">
        <v>78</v>
      </c>
      <c r="F40" s="164"/>
      <c r="G40" s="124">
        <f>$E$15</f>
        <v>0.4</v>
      </c>
      <c r="H40" s="159">
        <f>H39*E15</f>
        <v>5.042145593869732</v>
      </c>
      <c r="I40" s="160">
        <f>H40*11.6</f>
        <v>58.48888888888889</v>
      </c>
      <c r="J40" s="175"/>
      <c r="K40" s="180" t="s">
        <v>111</v>
      </c>
      <c r="L40" s="181">
        <f>M25-L41</f>
        <v>36.12551724137931</v>
      </c>
      <c r="M40" s="182">
        <f>L40*11.6</f>
        <v>419.05600000000004</v>
      </c>
      <c r="N40" s="179"/>
    </row>
    <row r="41" spans="1:14" ht="13.5" thickBot="1">
      <c r="A41" s="121" t="s">
        <v>19</v>
      </c>
      <c r="B41" s="122">
        <v>0.9</v>
      </c>
      <c r="C41" s="25">
        <f>D27/B41</f>
        <v>5.555555555555555</v>
      </c>
      <c r="D41" s="123">
        <f>C41*11.6</f>
        <v>64.44444444444444</v>
      </c>
      <c r="E41" s="164" t="s">
        <v>79</v>
      </c>
      <c r="F41" s="164"/>
      <c r="G41" s="72"/>
      <c r="H41" s="159">
        <f>H40-J22-J25</f>
        <v>3.0421455938697317</v>
      </c>
      <c r="I41" s="160">
        <f>H41*11.6</f>
        <v>35.288888888888884</v>
      </c>
      <c r="J41" s="183" t="s">
        <v>75</v>
      </c>
      <c r="K41" s="184" t="s">
        <v>112</v>
      </c>
      <c r="L41" s="185">
        <f>M41/11.6</f>
        <v>6.0344827586206895</v>
      </c>
      <c r="M41" s="192">
        <v>70</v>
      </c>
      <c r="N41" s="186" t="s">
        <v>64</v>
      </c>
    </row>
    <row r="42" spans="1:14" ht="12.75">
      <c r="A42" s="121" t="s">
        <v>59</v>
      </c>
      <c r="B42" s="125">
        <v>0.5</v>
      </c>
      <c r="C42" s="126">
        <f>D42/11.6</f>
        <v>0</v>
      </c>
      <c r="D42" s="123">
        <f>L17/B42</f>
        <v>0</v>
      </c>
      <c r="E42" s="163" t="s">
        <v>27</v>
      </c>
      <c r="F42" s="163"/>
      <c r="G42" s="72"/>
      <c r="H42" s="123">
        <f>C39+C40+C41+C42+C43+H39</f>
        <v>30</v>
      </c>
      <c r="I42" s="123">
        <f>D39+D40+D41+D42+D43+I39</f>
        <v>348</v>
      </c>
      <c r="J42" s="179" t="s">
        <v>76</v>
      </c>
      <c r="K42" s="179"/>
      <c r="L42" s="177" t="s">
        <v>7</v>
      </c>
      <c r="M42" s="178" t="s">
        <v>2</v>
      </c>
      <c r="N42" s="187" t="s">
        <v>65</v>
      </c>
    </row>
    <row r="43" spans="1:14" ht="12.75">
      <c r="A43" s="121" t="s">
        <v>60</v>
      </c>
      <c r="B43" s="122">
        <v>0.9</v>
      </c>
      <c r="C43" s="123">
        <f>I23/B43</f>
        <v>2.2222222222222223</v>
      </c>
      <c r="D43" s="123">
        <f>C43*11.6</f>
        <v>25.77777777777778</v>
      </c>
      <c r="F43" s="162"/>
      <c r="G43" s="162"/>
      <c r="H43" s="162"/>
      <c r="J43" s="188">
        <v>3</v>
      </c>
      <c r="K43" s="189" t="s">
        <v>66</v>
      </c>
      <c r="L43" s="188">
        <v>4</v>
      </c>
      <c r="M43" s="190">
        <f>L43*11.6</f>
        <v>46.4</v>
      </c>
      <c r="N43" s="191">
        <v>0.3</v>
      </c>
    </row>
    <row r="44" spans="2:6" ht="12.75">
      <c r="B44" s="70"/>
      <c r="F44" s="56"/>
    </row>
    <row r="46" ht="12.75">
      <c r="B46" s="28"/>
    </row>
    <row r="47" ht="12.75">
      <c r="B47" s="28"/>
    </row>
    <row r="48" ht="12.75">
      <c r="D48" s="4"/>
    </row>
    <row r="49" ht="12.75">
      <c r="D49" s="4"/>
    </row>
  </sheetData>
  <mergeCells count="13">
    <mergeCell ref="D1:N1"/>
    <mergeCell ref="K35:L35"/>
    <mergeCell ref="F35:G35"/>
    <mergeCell ref="A2:D2"/>
    <mergeCell ref="H15:I15"/>
    <mergeCell ref="H16:I16"/>
    <mergeCell ref="I37:J37"/>
    <mergeCell ref="F43:H43"/>
    <mergeCell ref="E42:F42"/>
    <mergeCell ref="E39:F39"/>
    <mergeCell ref="E40:F40"/>
    <mergeCell ref="E41:F41"/>
    <mergeCell ref="J38:N38"/>
  </mergeCells>
  <printOptions/>
  <pageMargins left="0.34" right="0.29" top="0.21" bottom="0.23" header="0.12" footer="0.1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1" sqref="A11"/>
    </sheetView>
  </sheetViews>
  <sheetFormatPr defaultColWidth="11.421875" defaultRowHeight="12.75"/>
  <cols>
    <col min="1" max="1" width="24.7109375" style="0" customWidth="1"/>
  </cols>
  <sheetData>
    <row r="1" spans="1:3" ht="12.75">
      <c r="A1" s="173" t="s">
        <v>89</v>
      </c>
      <c r="B1" s="173"/>
      <c r="C1" s="173"/>
    </row>
    <row r="2" ht="12.75">
      <c r="B2" t="s">
        <v>91</v>
      </c>
    </row>
    <row r="3" spans="1:2" ht="12.75">
      <c r="A3" t="s">
        <v>90</v>
      </c>
      <c r="B3" s="135">
        <f>0*Feuil1!C34+Feuil1!H35+Feuil1!J35</f>
        <v>147.55999999999997</v>
      </c>
    </row>
    <row r="4" ht="12.75">
      <c r="A4" t="s">
        <v>95</v>
      </c>
    </row>
    <row r="5" spans="1:2" ht="12.75">
      <c r="A5" s="130" t="s">
        <v>96</v>
      </c>
      <c r="B5" s="131">
        <f>(1-Feuil1!B40)*Feuil1!D41</f>
        <v>6.444444444444443</v>
      </c>
    </row>
    <row r="6" spans="1:2" ht="12.75">
      <c r="A6" s="130" t="s">
        <v>97</v>
      </c>
      <c r="B6" s="131">
        <f>(1-Feuil1!B39)*Feuil1!D39</f>
        <v>60</v>
      </c>
    </row>
    <row r="7" spans="1:2" ht="12.75">
      <c r="A7" s="130" t="s">
        <v>92</v>
      </c>
      <c r="B7" s="136">
        <f>(1-Feuil1!G40)*Feuil1!I40</f>
        <v>35.093333333333334</v>
      </c>
    </row>
    <row r="8" spans="1:2" ht="12.75">
      <c r="A8" s="130" t="s">
        <v>98</v>
      </c>
      <c r="B8" s="131">
        <f>(1-Feuil1!B42)*Feuil1!D42</f>
        <v>0</v>
      </c>
    </row>
    <row r="9" spans="1:2" ht="12.75">
      <c r="A9" s="130" t="s">
        <v>99</v>
      </c>
      <c r="B9" s="131">
        <f>(1-Feuil1!B40)*(Feuil1!D40+Feuil1!D42)</f>
        <v>5.155555555555555</v>
      </c>
    </row>
    <row r="10" ht="12.75">
      <c r="B10" s="134">
        <f>SUM(B5:B9)</f>
        <v>106.69333333333333</v>
      </c>
    </row>
    <row r="11" spans="1:2" ht="12.75">
      <c r="A11" s="133" t="s">
        <v>100</v>
      </c>
      <c r="B11">
        <f>(Feuil1!H34-Feuil1!K17-Feuil1!L17)*0.4</f>
        <v>42.16</v>
      </c>
    </row>
    <row r="12" spans="1:2" ht="12.75">
      <c r="A12" s="133" t="s">
        <v>93</v>
      </c>
      <c r="B12">
        <f>Feuil1!N40*(Feuil1!C35/Feuil1!L40+Feuil1!D35)</f>
        <v>0</v>
      </c>
    </row>
    <row r="14" spans="1:2" ht="12.75">
      <c r="A14" t="s">
        <v>94</v>
      </c>
      <c r="B14" s="132">
        <f>B3+B10+B11+B12</f>
        <v>296.4133333333333</v>
      </c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Prévot</dc:creator>
  <cp:keywords/>
  <dc:description/>
  <cp:lastModifiedBy>Prévot</cp:lastModifiedBy>
  <cp:lastPrinted>2021-12-18T15:31:35Z</cp:lastPrinted>
  <dcterms:created xsi:type="dcterms:W3CDTF">2021-06-19T20:49:56Z</dcterms:created>
  <dcterms:modified xsi:type="dcterms:W3CDTF">2022-06-16T07:16:12Z</dcterms:modified>
  <cp:category/>
  <cp:version/>
  <cp:contentType/>
  <cp:contentStatus/>
</cp:coreProperties>
</file>